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grzesik/Desktop/"/>
    </mc:Choice>
  </mc:AlternateContent>
  <xr:revisionPtr revIDLastSave="0" documentId="8_{BF51183E-575A-2A46-8725-04D5C7872FF8}" xr6:coauthVersionLast="47" xr6:coauthVersionMax="47" xr10:uidLastSave="{00000000-0000-0000-0000-000000000000}"/>
  <bookViews>
    <workbookView xWindow="200" yWindow="500" windowWidth="33380" windowHeight="20360" activeTab="1" xr2:uid="{03FC3B10-0318-7448-BF38-78D90D371E36}"/>
  </bookViews>
  <sheets>
    <sheet name="Kalkulator ZUS" sheetId="1" r:id="rId1"/>
    <sheet name="DG vs UOP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14" i="2"/>
  <c r="L7" i="2"/>
  <c r="I7" i="2"/>
  <c r="C13" i="2"/>
  <c r="C7" i="2"/>
  <c r="C10" i="2" s="1"/>
  <c r="C6" i="2"/>
  <c r="C8" i="2" l="1"/>
  <c r="C11" i="2" s="1"/>
  <c r="N10" i="2"/>
  <c r="F14" i="2" s="1"/>
  <c r="L10" i="2"/>
  <c r="L8" i="2"/>
  <c r="I8" i="2"/>
  <c r="K8" i="1"/>
  <c r="P5" i="2"/>
  <c r="P4" i="2"/>
  <c r="N7" i="2"/>
  <c r="F8" i="2" s="1"/>
  <c r="N6" i="2"/>
  <c r="N5" i="2"/>
  <c r="I19" i="1"/>
  <c r="K19" i="1"/>
  <c r="I13" i="1"/>
  <c r="J19" i="1"/>
  <c r="H19" i="1"/>
  <c r="G19" i="1"/>
  <c r="F19" i="1"/>
  <c r="C26" i="1"/>
  <c r="C25" i="1"/>
  <c r="D20" i="1"/>
  <c r="D18" i="1"/>
  <c r="D17" i="1"/>
  <c r="D13" i="1"/>
  <c r="J13" i="1" s="1"/>
  <c r="D9" i="1"/>
  <c r="J9" i="1" s="1"/>
  <c r="J8" i="1"/>
  <c r="F13" i="2" l="1"/>
  <c r="L14" i="2"/>
  <c r="I14" i="2"/>
  <c r="L13" i="2"/>
  <c r="I13" i="2"/>
  <c r="L11" i="2"/>
  <c r="I9" i="2"/>
  <c r="I10" i="2" s="1"/>
  <c r="I11" i="2" s="1"/>
  <c r="F9" i="2"/>
  <c r="F10" i="2" s="1"/>
  <c r="F11" i="2" s="1"/>
  <c r="L19" i="1"/>
  <c r="H8" i="1"/>
  <c r="H9" i="1"/>
  <c r="H13" i="1"/>
  <c r="F8" i="1"/>
  <c r="F9" i="1"/>
  <c r="F13" i="1"/>
  <c r="G8" i="1"/>
  <c r="G9" i="1"/>
  <c r="G13" i="1"/>
  <c r="K13" i="1"/>
  <c r="L13" i="1" s="1"/>
  <c r="K9" i="1" l="1"/>
  <c r="L9" i="1" s="1"/>
  <c r="L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</authors>
  <commentList>
    <comment ref="B2" authorId="0" shapeId="0" xr:uid="{4D5467F5-1B86-144D-A8C5-6FF931A201E5}">
      <text>
        <r>
          <rPr>
            <b/>
            <sz val="10.5"/>
            <color rgb="FF000000"/>
            <rFont val="Tahoma"/>
            <family val="2"/>
            <charset val="238"/>
          </rPr>
          <t xml:space="preserve">Wykluczenia:
</t>
        </r>
        <r>
          <rPr>
            <sz val="10"/>
            <color rgb="FF000000"/>
            <rFont val="Tahoma"/>
            <family val="2"/>
            <charset val="238"/>
          </rPr>
          <t xml:space="preserve">1. DG w okresie do 60 miesięcy wstecz
</t>
        </r>
        <r>
          <rPr>
            <sz val="10"/>
            <color rgb="FF000000"/>
            <rFont val="Tahoma"/>
            <family val="2"/>
            <charset val="238"/>
          </rPr>
          <t xml:space="preserve">2. DG na rzeczy byłego pracodawcy
</t>
        </r>
        <r>
          <rPr>
            <sz val="10"/>
            <color rgb="FF000000"/>
            <rFont val="Tahoma"/>
            <family val="2"/>
            <charset val="238"/>
          </rPr>
          <t xml:space="preserve">3. Wykonywanie w bieżącym lub poprzednim roku na podstawie UOP czynności wchodzących w skład prowadzonej DG przed dniem rozpoczęcia tej DG
</t>
        </r>
        <r>
          <rPr>
            <sz val="10"/>
            <color rgb="FF000000"/>
            <rFont val="Tahoma"/>
            <family val="2"/>
            <charset val="238"/>
          </rPr>
          <t xml:space="preserve">4. Prowadzenie działalności będąc wspólnikiem spółki cywilnej i rozpoczęcie własnej, indywidualnej DG - składki ZUS z drugiej DG będą stanowić minimalne składki w wysokości 60% przeciętnego wynagrodzenia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Grzesik</author>
  </authors>
  <commentList>
    <comment ref="O4" authorId="0" shapeId="0" xr:uid="{089C7AC9-EF0B-6C4E-B674-282DEEED6F81}">
      <text>
        <r>
          <rPr>
            <sz val="10"/>
            <color rgb="FF000000"/>
            <rFont val="Tahoma"/>
            <family val="2"/>
            <charset val="238"/>
          </rPr>
          <t>https://stat.gov.pl/sygnalne/komunikaty-i-obwieszczenia/lista-komunikatow-i-obwieszczen/obwieszczenie-w-sprawie-przecietnego-miesiecznego-wynagrodzenia-w-sektorze-przedsiebiorstw-wlacznie-z-wyplatami-z-zysku-w-czwartym-kwartale-2021-roku,58,33.html</t>
        </r>
      </text>
    </comment>
    <comment ref="P4" authorId="0" shapeId="0" xr:uid="{4118F6B3-78E9-B94A-AC7C-AED1E6AADC0B}">
      <text>
        <r>
          <rPr>
            <b/>
            <sz val="10"/>
            <color rgb="FF000000"/>
            <rFont val="Calibri"/>
            <family val="2"/>
          </rPr>
          <t>Składka emerytalna w 2023</t>
        </r>
        <r>
          <rPr>
            <sz val="10"/>
            <color rgb="FF000000"/>
            <rFont val="Calibri"/>
            <family val="2"/>
          </rPr>
          <t xml:space="preserve"> to 812,23 zł
</t>
        </r>
        <r>
          <rPr>
            <b/>
            <sz val="10"/>
            <color rgb="FF000000"/>
            <rFont val="Calibri"/>
            <family val="2"/>
          </rPr>
          <t>Składka rentowa w 2023</t>
        </r>
        <r>
          <rPr>
            <sz val="10"/>
            <color rgb="FF000000"/>
            <rFont val="Calibri"/>
            <family val="2"/>
          </rPr>
          <t xml:space="preserve"> to 332,88 zł
</t>
        </r>
        <r>
          <rPr>
            <b/>
            <sz val="10"/>
            <color rgb="FF000000"/>
            <rFont val="Calibri"/>
            <family val="2"/>
          </rPr>
          <t>Składka chorobowa (dobrowolne) w 2023</t>
        </r>
        <r>
          <rPr>
            <sz val="10"/>
            <color rgb="FF000000"/>
            <rFont val="Calibri"/>
            <family val="2"/>
          </rPr>
          <t xml:space="preserve"> to 101,94 zł
</t>
        </r>
        <r>
          <rPr>
            <b/>
            <sz val="10"/>
            <color rgb="FF000000"/>
            <rFont val="Calibri"/>
            <family val="2"/>
          </rPr>
          <t>Składka wypadkowa w 2023</t>
        </r>
        <r>
          <rPr>
            <sz val="10"/>
            <color rgb="FF000000"/>
            <rFont val="Calibri"/>
            <family val="2"/>
          </rPr>
          <t xml:space="preserve"> to 69,49 zł
</t>
        </r>
        <r>
          <rPr>
            <b/>
            <sz val="10"/>
            <color rgb="FF000000"/>
            <rFont val="Calibri"/>
            <family val="2"/>
          </rPr>
          <t>Składka na Fundusz Pracy w 2023</t>
        </r>
        <r>
          <rPr>
            <sz val="10"/>
            <color rgb="FF000000"/>
            <rFont val="Calibri"/>
            <family val="2"/>
          </rPr>
          <t xml:space="preserve"> to 101,94 zł
</t>
        </r>
      </text>
    </comment>
  </commentList>
</comments>
</file>

<file path=xl/sharedStrings.xml><?xml version="1.0" encoding="utf-8"?>
<sst xmlns="http://schemas.openxmlformats.org/spreadsheetml/2006/main" count="103" uniqueCount="75">
  <si>
    <t>Grupa I</t>
  </si>
  <si>
    <t>pierwsze 24 miesiące</t>
  </si>
  <si>
    <t>Wykluczenie: 60m-cy przed lub były pracodawca</t>
  </si>
  <si>
    <t>sty-cze</t>
  </si>
  <si>
    <t>lip-gru</t>
  </si>
  <si>
    <t>Grupa II</t>
  </si>
  <si>
    <t>Standardowy ZUS</t>
  </si>
  <si>
    <t>oraz osoby współpracujące!</t>
  </si>
  <si>
    <t>60% od wyn. Progozowanego: 6 935 zł</t>
  </si>
  <si>
    <t>30% od min. Wynagrodzenia: 3 490 zł</t>
  </si>
  <si>
    <t>30% od min. Wynagrodzenia: 3 600 zł</t>
  </si>
  <si>
    <t>Emerytalne</t>
  </si>
  <si>
    <t>Rentowe</t>
  </si>
  <si>
    <t>Chorobowe</t>
  </si>
  <si>
    <t>tzw. "mały ZUS"</t>
  </si>
  <si>
    <t>Ulga na start</t>
  </si>
  <si>
    <t>6 miesiecy bez ZUS</t>
  </si>
  <si>
    <t>Zdrowotna obowiązkowa</t>
  </si>
  <si>
    <t>Tzw. Mały ZUS</t>
  </si>
  <si>
    <t>po 6 - kolejne 24 miesiące</t>
  </si>
  <si>
    <t>Wypadkowa</t>
  </si>
  <si>
    <t>po 6 i 24 - kolejne 36 miesiecy (max 5 lat na obie ulgi)</t>
  </si>
  <si>
    <t>Kryterium dochodu za poprzedni rok!</t>
  </si>
  <si>
    <t>MIN.</t>
  </si>
  <si>
    <t>Tylko dla przychodów &lt; 120 000 zł rocznie!</t>
  </si>
  <si>
    <t>MAX.</t>
  </si>
  <si>
    <t>Inne</t>
  </si>
  <si>
    <t>Działalność nierejestrowana</t>
  </si>
  <si>
    <t>Max. Przychód 50% minimalnego wynagrodzenia</t>
  </si>
  <si>
    <t>https://www.zus.pl/firmy/przedsiebiorco-przeczytaj-wazne/maly-zus-mdg-/kalkulator-mdg</t>
  </si>
  <si>
    <t>SUMA</t>
  </si>
  <si>
    <t>SUMA bez chorobowego</t>
  </si>
  <si>
    <t>FP i FS</t>
  </si>
  <si>
    <t>PREFERENCYJNE SKŁADKI ZUS</t>
  </si>
  <si>
    <t>Ryczałt</t>
  </si>
  <si>
    <t>ZUS</t>
  </si>
  <si>
    <t>PIT</t>
  </si>
  <si>
    <t>2023 Zdrowotne na ryczałcie</t>
  </si>
  <si>
    <t>2023 ZUS</t>
  </si>
  <si>
    <t>Stawki ryczałtu</t>
  </si>
  <si>
    <t>śr. Wyn. IV kw</t>
  </si>
  <si>
    <t>z chorobowym</t>
  </si>
  <si>
    <t>https://ksiegowosc.infor.pl/podatki/ryczalt/dzialalnosc-gospodarcza/5410224,Ryczalt-ewidencjonowany-przedsiebiorcow-w-2022-roku-stawki-limity-skladka-zdrowotna.html</t>
  </si>
  <si>
    <t>przychód do 60 000</t>
  </si>
  <si>
    <t>bez chorobowego</t>
  </si>
  <si>
    <t>https://www.zus.info.pl/skladki-zus-2023/</t>
  </si>
  <si>
    <t>60 000 - 300 000</t>
  </si>
  <si>
    <t>bez ZUSu</t>
  </si>
  <si>
    <t xml:space="preserve">powyżej 300 000 </t>
  </si>
  <si>
    <t>preferencyjny z chorobowym</t>
  </si>
  <si>
    <t>preferencyjny bez chorobowego</t>
  </si>
  <si>
    <t>Wpisz roczny ZUS</t>
  </si>
  <si>
    <t>min. Zdrowotne liniowy, skala</t>
  </si>
  <si>
    <t>Zdrowotna do PIT</t>
  </si>
  <si>
    <t>Zysk na rękę</t>
  </si>
  <si>
    <t>Ryczałt (z listy)</t>
  </si>
  <si>
    <t>Zdrowotna jako KUP</t>
  </si>
  <si>
    <t>Wyn. Prognozowane</t>
  </si>
  <si>
    <t>Podstawa składek ZUS</t>
  </si>
  <si>
    <t>ZUS pracodawcy 20,48%</t>
  </si>
  <si>
    <t>ZUS pracownika 13,71%</t>
  </si>
  <si>
    <t>Liniowy 19%</t>
  </si>
  <si>
    <t>Skala 12/32%</t>
  </si>
  <si>
    <t>UOP 12/32%</t>
  </si>
  <si>
    <t>Dane pomocnicze</t>
  </si>
  <si>
    <t>Zdrowotna 9%</t>
  </si>
  <si>
    <t>Zdrowotna 4,9%</t>
  </si>
  <si>
    <t>Zdrowotna ryczałt</t>
  </si>
  <si>
    <t>Chorobowe za 1 dzień</t>
  </si>
  <si>
    <t>Na emeryturę 19,52%</t>
  </si>
  <si>
    <t>Stawka wynagrodzenia brutto</t>
  </si>
  <si>
    <t>https://poradnikprzedsiebiorcy.pl/kalkulator-wynagrodzen</t>
  </si>
  <si>
    <t>https://zielonalinia.gov.pl/zasilek-chorobowy-dla-przedsiebiorcy-46382</t>
  </si>
  <si>
    <t>https://adamgrzesik.pl/ksiazka-budzet-firmowy/</t>
  </si>
  <si>
    <t>Tzw. ZUS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</si>
</sst>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zł&quot;_ ;_ * \(#,##0.00\)\ &quot;zł&quot;_ ;_ * &quot;-&quot;??_)\ &quot;zł&quot;_ ;_ @_ "/>
    <numFmt numFmtId="167" formatCode="_ * #,##0_)\ &quot;zł&quot;_ ;_ * \(#,##0\)\ &quot;zł&quot;_ ;_ * &quot;-&quot;??_)\ &quot;zł&quot;_ ;_ @_ "/>
  </numFmts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ahoma"/>
      <family val="2"/>
      <charset val="238"/>
    </font>
    <font>
      <b/>
      <sz val="10.5"/>
      <color rgb="FF000000"/>
      <name val="Tahoma"/>
      <family val="2"/>
      <charset val="238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2"/>
      <color theme="0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72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167" fontId="0" fillId="0" borderId="0" xfId="1" applyNumberFormat="1" applyFont="1"/>
    <xf numFmtId="44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0" fontId="3" fillId="2" borderId="0" xfId="0" applyNumberFormat="1" applyFont="1" applyFill="1" applyAlignment="1">
      <alignment horizontal="center" vertical="center"/>
    </xf>
    <xf numFmtId="9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44" fontId="3" fillId="3" borderId="0" xfId="1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0" fontId="7" fillId="0" borderId="0" xfId="2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44" fontId="7" fillId="0" borderId="4" xfId="1" applyFont="1" applyBorder="1" applyAlignment="1">
      <alignment horizontal="center"/>
    </xf>
    <xf numFmtId="10" fontId="8" fillId="0" borderId="0" xfId="2" applyNumberFormat="1" applyFont="1" applyBorder="1" applyAlignment="1">
      <alignment horizontal="left" vertical="center"/>
    </xf>
    <xf numFmtId="10" fontId="2" fillId="0" borderId="0" xfId="3" applyNumberFormat="1" applyBorder="1" applyAlignment="1">
      <alignment horizontal="center"/>
    </xf>
    <xf numFmtId="167" fontId="10" fillId="0" borderId="4" xfId="4" applyNumberFormat="1" applyFont="1" applyFill="1" applyBorder="1" applyAlignment="1">
      <alignment horizontal="right"/>
    </xf>
    <xf numFmtId="0" fontId="11" fillId="0" borderId="6" xfId="0" applyFont="1" applyBorder="1"/>
    <xf numFmtId="0" fontId="13" fillId="0" borderId="7" xfId="0" applyFont="1" applyBorder="1"/>
    <xf numFmtId="10" fontId="8" fillId="0" borderId="7" xfId="2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44" fontId="7" fillId="0" borderId="0" xfId="1" applyFont="1"/>
    <xf numFmtId="44" fontId="7" fillId="0" borderId="0" xfId="0" applyNumberFormat="1" applyFont="1"/>
    <xf numFmtId="44" fontId="0" fillId="0" borderId="0" xfId="0" applyNumberFormat="1" applyAlignment="1">
      <alignment horizontal="right" vertical="center"/>
    </xf>
    <xf numFmtId="0" fontId="7" fillId="0" borderId="0" xfId="0" applyFont="1"/>
    <xf numFmtId="0" fontId="7" fillId="0" borderId="4" xfId="0" applyFont="1" applyBorder="1" applyAlignment="1">
      <alignment horizontal="right" vertical="center"/>
    </xf>
    <xf numFmtId="44" fontId="7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44" fontId="7" fillId="0" borderId="5" xfId="1" applyFont="1" applyBorder="1"/>
    <xf numFmtId="44" fontId="7" fillId="0" borderId="5" xfId="0" applyNumberFormat="1" applyFont="1" applyBorder="1"/>
    <xf numFmtId="0" fontId="3" fillId="2" borderId="6" xfId="0" applyFont="1" applyFill="1" applyBorder="1"/>
    <xf numFmtId="44" fontId="3" fillId="2" borderId="8" xfId="0" applyNumberFormat="1" applyFont="1" applyFill="1" applyBorder="1"/>
    <xf numFmtId="0" fontId="0" fillId="0" borderId="0" xfId="0" applyBorder="1"/>
    <xf numFmtId="0" fontId="7" fillId="0" borderId="0" xfId="0" applyFont="1" applyBorder="1" applyAlignment="1">
      <alignment horizontal="right" vertical="center"/>
    </xf>
    <xf numFmtId="44" fontId="7" fillId="0" borderId="0" xfId="0" applyNumberFormat="1" applyFont="1" applyBorder="1"/>
    <xf numFmtId="44" fontId="7" fillId="3" borderId="5" xfId="1" applyFont="1" applyFill="1" applyBorder="1"/>
    <xf numFmtId="10" fontId="3" fillId="3" borderId="5" xfId="0" applyNumberFormat="1" applyFont="1" applyFill="1" applyBorder="1"/>
    <xf numFmtId="44" fontId="3" fillId="3" borderId="9" xfId="1" applyFont="1" applyFill="1" applyBorder="1"/>
    <xf numFmtId="0" fontId="3" fillId="0" borderId="10" xfId="0" applyFont="1" applyBorder="1" applyAlignment="1">
      <alignment horizontal="center" vertical="center"/>
    </xf>
    <xf numFmtId="10" fontId="7" fillId="0" borderId="11" xfId="2" applyNumberFormat="1" applyFont="1" applyBorder="1" applyAlignment="1">
      <alignment horizontal="center"/>
    </xf>
    <xf numFmtId="10" fontId="7" fillId="0" borderId="12" xfId="2" applyNumberFormat="1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10" fontId="7" fillId="0" borderId="13" xfId="2" applyNumberFormat="1" applyFont="1" applyBorder="1" applyAlignment="1">
      <alignment horizontal="center"/>
    </xf>
    <xf numFmtId="44" fontId="7" fillId="0" borderId="14" xfId="1" applyFont="1" applyBorder="1" applyAlignment="1">
      <alignment horizontal="center"/>
    </xf>
    <xf numFmtId="0" fontId="12" fillId="2" borderId="14" xfId="0" applyFont="1" applyFill="1" applyBorder="1"/>
    <xf numFmtId="44" fontId="7" fillId="0" borderId="15" xfId="1" applyFont="1" applyBorder="1" applyAlignment="1">
      <alignment horizontal="center"/>
    </xf>
    <xf numFmtId="10" fontId="7" fillId="0" borderId="16" xfId="2" applyNumberFormat="1" applyFont="1" applyBorder="1" applyAlignment="1">
      <alignment horizontal="center"/>
    </xf>
    <xf numFmtId="10" fontId="8" fillId="0" borderId="17" xfId="2" applyNumberFormat="1" applyFont="1" applyBorder="1" applyAlignment="1">
      <alignment horizontal="center"/>
    </xf>
    <xf numFmtId="10" fontId="8" fillId="0" borderId="18" xfId="2" applyNumberFormat="1" applyFont="1" applyBorder="1" applyAlignment="1">
      <alignment horizontal="center"/>
    </xf>
    <xf numFmtId="44" fontId="7" fillId="0" borderId="19" xfId="1" applyFont="1" applyBorder="1" applyAlignment="1">
      <alignment horizontal="center"/>
    </xf>
    <xf numFmtId="0" fontId="8" fillId="0" borderId="0" xfId="0" applyFont="1" applyBorder="1"/>
    <xf numFmtId="44" fontId="7" fillId="0" borderId="16" xfId="1" applyFont="1" applyBorder="1" applyAlignment="1">
      <alignment horizontal="center"/>
    </xf>
    <xf numFmtId="10" fontId="8" fillId="0" borderId="20" xfId="2" applyNumberFormat="1" applyFont="1" applyBorder="1" applyAlignment="1">
      <alignment horizontal="center"/>
    </xf>
    <xf numFmtId="44" fontId="7" fillId="0" borderId="0" xfId="1" applyFont="1" applyBorder="1"/>
    <xf numFmtId="0" fontId="16" fillId="0" borderId="4" xfId="0" applyFont="1" applyBorder="1" applyAlignment="1">
      <alignment horizontal="right" vertical="center"/>
    </xf>
    <xf numFmtId="44" fontId="16" fillId="0" borderId="5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3"/>
    <xf numFmtId="10" fontId="2" fillId="0" borderId="0" xfId="3" applyNumberFormat="1" applyBorder="1" applyAlignment="1">
      <alignment horizontal="left" vertical="center"/>
    </xf>
  </cellXfs>
  <cellStyles count="5">
    <cellStyle name="Hiperłącze" xfId="3" builtinId="8"/>
    <cellStyle name="Normalny" xfId="0" builtinId="0"/>
    <cellStyle name="Procentowy" xfId="2" builtinId="5"/>
    <cellStyle name="Walutowy" xfId="1" builtinId="4"/>
    <cellStyle name="Walutowy 10" xfId="4" xr:uid="{D3C4B615-FF47-B348-9A76-63219BCA6C7B}"/>
  </cellStyles>
  <dxfs count="1"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damgrzesik.pl/ksiazka-budzet-firmow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336742</xdr:colOff>
      <xdr:row>22</xdr:row>
      <xdr:rowOff>153940</xdr:rowOff>
    </xdr:from>
    <xdr:to>
      <xdr:col>4</xdr:col>
      <xdr:colOff>586893</xdr:colOff>
      <xdr:row>33</xdr:row>
      <xdr:rowOff>171662</xdr:rowOff>
    </xdr:to>
    <xdr:pic>
      <xdr:nvPicPr>
        <xdr:cNvPr id="9" name="Obraz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685000-27C1-CE42-6E25-52B463C35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742" y="4724016"/>
          <a:ext cx="4358409" cy="2240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zus.pl/firmy/przedsiebiorco-przeczytaj-wazne/maly-zus-mdg-/kalkulator-md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ksiegowosc.infor.pl/podatki/ryczalt/dzialalnosc-gospodarcza/5410224,Ryczalt-ewidencjonowany-przedsiebiorcow-w-2022-roku-stawki-limity-skladka-zdrowotna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adnikprzedsiebiorcy.pl/kalkulator-wynagrodzen" TargetMode="External"/><Relationship Id="rId1" Type="http://schemas.openxmlformats.org/officeDocument/2006/relationships/hyperlink" Target="https://www.zus.info.pl/skladki-zus-2023/" TargetMode="External"/><Relationship Id="rId6" Type="http://schemas.openxmlformats.org/officeDocument/2006/relationships/hyperlink" Target="https://adamgrzesik.pl/ksiazka-budzet-firmowy/" TargetMode="External"/><Relationship Id="rId5" Type="http://schemas.openxmlformats.org/officeDocument/2006/relationships/hyperlink" Target="https://zielonalinia.gov.pl/zasilek-chorobowy-dla-przedsiebiorcy-46382" TargetMode="External"/><Relationship Id="rId4" Type="http://schemas.openxmlformats.org/officeDocument/2006/relationships/hyperlink" Target="https://www.zus.pl/firmy/przedsiebiorco-przeczytaj-wazne/maly-zus-mdg-/kalkulator-mdg" TargetMode="Externa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16AC-D24D-9743-B1AE-A46268422932}">
  <dimension ref="A2:L32"/>
  <sheetViews>
    <sheetView zoomScale="162" workbookViewId="0">
      <selection activeCell="D24" sqref="D24"/>
    </sheetView>
  </sheetViews>
  <sheetFormatPr baseColWidth="10" defaultRowHeight="16" x14ac:dyDescent="0.2"/>
  <cols>
    <col min="2" max="2" width="14.6640625" customWidth="1"/>
    <col min="3" max="3" width="31.83203125" bestFit="1" customWidth="1"/>
    <col min="4" max="4" width="46.33203125" bestFit="1" customWidth="1"/>
    <col min="6" max="6" width="17.1640625" bestFit="1" customWidth="1"/>
    <col min="7" max="7" width="11.5" bestFit="1" customWidth="1"/>
    <col min="8" max="8" width="11.5" customWidth="1"/>
    <col min="9" max="9" width="12.6640625" bestFit="1" customWidth="1"/>
    <col min="10" max="10" width="15.83203125" bestFit="1" customWidth="1"/>
    <col min="11" max="11" width="11.5" style="4" bestFit="1" customWidth="1"/>
    <col min="12" max="12" width="21.5" bestFit="1" customWidth="1"/>
  </cols>
  <sheetData>
    <row r="2" spans="2:12" x14ac:dyDescent="0.2">
      <c r="B2" s="9" t="s">
        <v>33</v>
      </c>
      <c r="C2" t="s">
        <v>15</v>
      </c>
      <c r="D2" t="s">
        <v>16</v>
      </c>
      <c r="E2" t="s">
        <v>17</v>
      </c>
    </row>
    <row r="3" spans="2:12" x14ac:dyDescent="0.2">
      <c r="B3" s="9"/>
      <c r="C3" t="s">
        <v>18</v>
      </c>
      <c r="D3" t="s">
        <v>19</v>
      </c>
      <c r="E3" t="s">
        <v>17</v>
      </c>
    </row>
    <row r="4" spans="2:12" x14ac:dyDescent="0.2">
      <c r="B4" s="9"/>
      <c r="C4" t="s">
        <v>74</v>
      </c>
      <c r="D4" t="s">
        <v>21</v>
      </c>
      <c r="E4" t="s">
        <v>17</v>
      </c>
    </row>
    <row r="6" spans="2:12" x14ac:dyDescent="0.2">
      <c r="B6" s="13" t="s">
        <v>0</v>
      </c>
      <c r="C6" s="13" t="s">
        <v>1</v>
      </c>
      <c r="D6" s="4" t="s">
        <v>2</v>
      </c>
      <c r="F6" s="10" t="s">
        <v>11</v>
      </c>
      <c r="G6" s="10" t="s">
        <v>12</v>
      </c>
      <c r="H6" s="10" t="s">
        <v>20</v>
      </c>
      <c r="I6" s="10" t="s">
        <v>32</v>
      </c>
      <c r="J6" s="10" t="s">
        <v>13</v>
      </c>
      <c r="K6" s="8" t="s">
        <v>30</v>
      </c>
      <c r="L6" s="8" t="s">
        <v>31</v>
      </c>
    </row>
    <row r="7" spans="2:12" x14ac:dyDescent="0.2">
      <c r="F7" s="11">
        <v>0.19520000000000001</v>
      </c>
      <c r="G7" s="12">
        <v>0.08</v>
      </c>
      <c r="H7" s="11">
        <v>1.67E-2</v>
      </c>
      <c r="I7" s="11">
        <v>2.4500000000000001E-2</v>
      </c>
      <c r="J7" s="11">
        <v>2.4500000000000001E-2</v>
      </c>
    </row>
    <row r="8" spans="2:12" x14ac:dyDescent="0.2">
      <c r="B8" t="s">
        <v>3</v>
      </c>
      <c r="C8" t="s">
        <v>9</v>
      </c>
      <c r="D8" s="7">
        <f>30%*3490</f>
        <v>1047</v>
      </c>
      <c r="F8" s="2">
        <f>$D8*$F$7</f>
        <v>204.37440000000001</v>
      </c>
      <c r="G8" s="2">
        <f>$D8*$G$7</f>
        <v>83.76</v>
      </c>
      <c r="H8" s="2">
        <f>$D8*$H$7</f>
        <v>17.4849</v>
      </c>
      <c r="I8" s="2"/>
      <c r="J8" s="2">
        <f>$D8*$J$7</f>
        <v>25.651500000000002</v>
      </c>
      <c r="K8" s="5">
        <f>SUM(F8:J8)</f>
        <v>331.27080000000001</v>
      </c>
      <c r="L8" s="5">
        <f>K8-J8</f>
        <v>305.61930000000001</v>
      </c>
    </row>
    <row r="9" spans="2:12" x14ac:dyDescent="0.2">
      <c r="B9" t="s">
        <v>4</v>
      </c>
      <c r="C9" t="s">
        <v>10</v>
      </c>
      <c r="D9" s="7">
        <f>30%*3600</f>
        <v>1080</v>
      </c>
      <c r="F9" s="2">
        <f>$D9*$F$7</f>
        <v>210.816</v>
      </c>
      <c r="G9" s="2">
        <f>$D9*$G$7</f>
        <v>86.4</v>
      </c>
      <c r="H9" s="2">
        <f>$D9*$H$7</f>
        <v>18.035999999999998</v>
      </c>
      <c r="I9" s="2"/>
      <c r="J9" s="2">
        <f>$D9*$J$7</f>
        <v>26.46</v>
      </c>
      <c r="K9" s="5">
        <f t="shared" ref="K8:K9" si="0">SUM(F9:J9)</f>
        <v>341.71199999999999</v>
      </c>
      <c r="L9" s="5">
        <f>K9-J9</f>
        <v>315.25200000000001</v>
      </c>
    </row>
    <row r="11" spans="2:12" x14ac:dyDescent="0.2">
      <c r="B11" s="13" t="s">
        <v>5</v>
      </c>
      <c r="C11" s="13" t="s">
        <v>6</v>
      </c>
      <c r="D11" s="4" t="s">
        <v>7</v>
      </c>
    </row>
    <row r="13" spans="2:12" x14ac:dyDescent="0.2">
      <c r="C13" s="1" t="s">
        <v>8</v>
      </c>
      <c r="D13" s="7">
        <f>60%*6935</f>
        <v>4161</v>
      </c>
      <c r="F13" s="2">
        <f>$D13*$F$7</f>
        <v>812.22720000000004</v>
      </c>
      <c r="G13" s="2">
        <f>$D13*$G$7</f>
        <v>332.88</v>
      </c>
      <c r="H13" s="2">
        <f>$D13*$H$7</f>
        <v>69.488699999999994</v>
      </c>
      <c r="I13" s="2">
        <f>$D13*$I$7</f>
        <v>101.94450000000001</v>
      </c>
      <c r="J13" s="2">
        <f>$D13*$J$7</f>
        <v>101.94450000000001</v>
      </c>
      <c r="K13" s="5">
        <f>SUM(F13:J13)</f>
        <v>1418.4848999999999</v>
      </c>
      <c r="L13" s="5">
        <f>K13-J13</f>
        <v>1316.5403999999999</v>
      </c>
    </row>
    <row r="15" spans="2:12" x14ac:dyDescent="0.2">
      <c r="B15" s="13" t="s">
        <v>5</v>
      </c>
      <c r="C15" s="13" t="s">
        <v>14</v>
      </c>
      <c r="D15" s="4" t="s">
        <v>22</v>
      </c>
      <c r="E15" s="70" t="s">
        <v>29</v>
      </c>
    </row>
    <row r="16" spans="2:12" x14ac:dyDescent="0.2">
      <c r="B16" s="4"/>
      <c r="C16" s="4"/>
      <c r="D16" s="4" t="s">
        <v>24</v>
      </c>
    </row>
    <row r="17" spans="1:12" x14ac:dyDescent="0.2">
      <c r="A17" t="s">
        <v>23</v>
      </c>
      <c r="B17" t="s">
        <v>3</v>
      </c>
      <c r="C17" t="s">
        <v>9</v>
      </c>
      <c r="D17" s="7">
        <f>30%*3490</f>
        <v>1047</v>
      </c>
    </row>
    <row r="18" spans="1:12" x14ac:dyDescent="0.2">
      <c r="A18" t="s">
        <v>23</v>
      </c>
      <c r="B18" t="s">
        <v>4</v>
      </c>
      <c r="C18" t="s">
        <v>10</v>
      </c>
      <c r="D18" s="7">
        <f>30%*3600</f>
        <v>1080</v>
      </c>
    </row>
    <row r="19" spans="1:12" x14ac:dyDescent="0.2">
      <c r="D19" s="14">
        <v>2054.8000000000002</v>
      </c>
      <c r="F19" s="2">
        <f>$D19*$F$7</f>
        <v>401.09696000000008</v>
      </c>
      <c r="G19" s="2">
        <f>$D19*$G$7</f>
        <v>164.38400000000001</v>
      </c>
      <c r="H19" s="2">
        <f>$D19*$H$7</f>
        <v>34.315159999999999</v>
      </c>
      <c r="I19" s="2">
        <f>$D19*$I$7</f>
        <v>50.342600000000004</v>
      </c>
      <c r="J19" s="2">
        <f>$D19*$J$7</f>
        <v>50.342600000000004</v>
      </c>
      <c r="K19" s="5">
        <f>SUM(F19:J19)</f>
        <v>700.4813200000001</v>
      </c>
      <c r="L19" s="5">
        <f>K19-J19</f>
        <v>650.13872000000015</v>
      </c>
    </row>
    <row r="20" spans="1:12" x14ac:dyDescent="0.2">
      <c r="A20" t="s">
        <v>25</v>
      </c>
      <c r="C20" s="1" t="s">
        <v>8</v>
      </c>
      <c r="D20" s="7">
        <f>60%*6935</f>
        <v>4161</v>
      </c>
    </row>
    <row r="23" spans="1:12" x14ac:dyDescent="0.2">
      <c r="B23" s="13" t="s">
        <v>26</v>
      </c>
      <c r="C23" s="13" t="s">
        <v>27</v>
      </c>
    </row>
    <row r="24" spans="1:12" x14ac:dyDescent="0.2">
      <c r="C24" t="s">
        <v>28</v>
      </c>
    </row>
    <row r="25" spans="1:12" x14ac:dyDescent="0.2">
      <c r="B25" t="s">
        <v>3</v>
      </c>
      <c r="C25" s="6">
        <f>50%*3490</f>
        <v>1745</v>
      </c>
    </row>
    <row r="26" spans="1:12" x14ac:dyDescent="0.2">
      <c r="B26" t="s">
        <v>4</v>
      </c>
      <c r="C26" s="6">
        <f>50%*3600</f>
        <v>1800</v>
      </c>
    </row>
    <row r="32" spans="1:12" x14ac:dyDescent="0.2">
      <c r="D32" s="3"/>
    </row>
  </sheetData>
  <mergeCells count="1">
    <mergeCell ref="B2:B4"/>
  </mergeCells>
  <hyperlinks>
    <hyperlink ref="E15" r:id="rId1" xr:uid="{BBE463B6-A024-2B4E-886C-2CBA2F35EFB9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7864-E6E3-AA4F-A5F1-D6004979FE08}">
  <dimension ref="B1:S23"/>
  <sheetViews>
    <sheetView tabSelected="1" zoomScale="132" workbookViewId="0">
      <selection activeCell="C3" sqref="C3"/>
    </sheetView>
  </sheetViews>
  <sheetFormatPr baseColWidth="10" defaultRowHeight="16" x14ac:dyDescent="0.2"/>
  <cols>
    <col min="2" max="2" width="27.5" bestFit="1" customWidth="1"/>
    <col min="3" max="3" width="12.5" bestFit="1" customWidth="1"/>
    <col min="4" max="4" width="3" customWidth="1"/>
    <col min="5" max="5" width="21.5" bestFit="1" customWidth="1"/>
    <col min="6" max="6" width="13.1640625" bestFit="1" customWidth="1"/>
    <col min="7" max="7" width="2.83203125" customWidth="1"/>
    <col min="8" max="8" width="25.33203125" bestFit="1" customWidth="1"/>
    <col min="9" max="9" width="12.5" bestFit="1" customWidth="1"/>
    <col min="10" max="10" width="3.33203125" customWidth="1"/>
    <col min="11" max="11" width="19" bestFit="1" customWidth="1"/>
    <col min="12" max="13" width="12.5" bestFit="1" customWidth="1"/>
    <col min="14" max="14" width="15.5" customWidth="1"/>
    <col min="15" max="15" width="19.33203125" bestFit="1" customWidth="1"/>
    <col min="16" max="16" width="13.1640625" bestFit="1" customWidth="1"/>
    <col min="17" max="17" width="23" bestFit="1" customWidth="1"/>
  </cols>
  <sheetData>
    <row r="1" spans="2:19" ht="17" thickBot="1" x14ac:dyDescent="0.25"/>
    <row r="2" spans="2:19" ht="20" thickBot="1" x14ac:dyDescent="0.3">
      <c r="B2" s="49" t="s">
        <v>70</v>
      </c>
      <c r="C2" s="48">
        <v>5000</v>
      </c>
      <c r="N2" s="15" t="s">
        <v>64</v>
      </c>
      <c r="O2" s="16"/>
      <c r="P2" s="16"/>
      <c r="Q2" s="16"/>
      <c r="R2" s="16"/>
      <c r="S2" s="17"/>
    </row>
    <row r="3" spans="2:19" x14ac:dyDescent="0.2">
      <c r="N3" s="58" t="s">
        <v>37</v>
      </c>
      <c r="O3" s="50"/>
      <c r="P3" s="54" t="s">
        <v>38</v>
      </c>
      <c r="Q3" s="18"/>
      <c r="R3" s="19" t="s">
        <v>39</v>
      </c>
      <c r="S3" s="59">
        <v>0.02</v>
      </c>
    </row>
    <row r="4" spans="2:19" ht="17" thickBot="1" x14ac:dyDescent="0.25">
      <c r="N4" s="20">
        <v>6965.94</v>
      </c>
      <c r="O4" s="18" t="s">
        <v>40</v>
      </c>
      <c r="P4" s="55">
        <f>(812.23+332.88+69.49+101.94+101.94)</f>
        <v>1418.4800000000002</v>
      </c>
      <c r="Q4" s="19" t="s">
        <v>41</v>
      </c>
      <c r="R4" s="21" t="s">
        <v>42</v>
      </c>
      <c r="S4" s="60">
        <v>0.03</v>
      </c>
    </row>
    <row r="5" spans="2:19" x14ac:dyDescent="0.2">
      <c r="B5" s="68" t="s">
        <v>63</v>
      </c>
      <c r="C5" s="69"/>
      <c r="E5" s="68" t="s">
        <v>34</v>
      </c>
      <c r="F5" s="69"/>
      <c r="H5" s="68" t="s">
        <v>61</v>
      </c>
      <c r="I5" s="69"/>
      <c r="K5" s="68" t="s">
        <v>62</v>
      </c>
      <c r="L5" s="69"/>
      <c r="N5" s="20">
        <f>60%*9%*N4</f>
        <v>376.16075999999998</v>
      </c>
      <c r="O5" s="18" t="s">
        <v>43</v>
      </c>
      <c r="P5" s="55">
        <f>(812.23+332.88+69.49+101.94)</f>
        <v>1316.5400000000002</v>
      </c>
      <c r="Q5" s="19" t="s">
        <v>44</v>
      </c>
      <c r="R5" s="22" t="s">
        <v>45</v>
      </c>
      <c r="S5" s="60">
        <v>5.5E-2</v>
      </c>
    </row>
    <row r="6" spans="2:19" x14ac:dyDescent="0.2">
      <c r="B6" s="66" t="s">
        <v>59</v>
      </c>
      <c r="C6" s="67">
        <f>20.48%*C2</f>
        <v>1024</v>
      </c>
      <c r="E6" s="38" t="s">
        <v>55</v>
      </c>
      <c r="F6" s="47">
        <v>0.15</v>
      </c>
      <c r="H6" s="36"/>
      <c r="I6" s="37"/>
      <c r="K6" s="36"/>
      <c r="L6" s="37"/>
      <c r="N6" s="20">
        <f>100%*9%*N4</f>
        <v>626.93459999999993</v>
      </c>
      <c r="O6" s="18" t="s">
        <v>46</v>
      </c>
      <c r="P6" s="55">
        <v>0</v>
      </c>
      <c r="Q6" s="19" t="s">
        <v>47</v>
      </c>
      <c r="R6" s="19"/>
      <c r="S6" s="60">
        <v>8.5000000000000006E-2</v>
      </c>
    </row>
    <row r="7" spans="2:19" x14ac:dyDescent="0.2">
      <c r="B7" s="33" t="s">
        <v>60</v>
      </c>
      <c r="C7" s="34">
        <f>13.71%*C2</f>
        <v>685.5</v>
      </c>
      <c r="E7" s="33" t="s">
        <v>35</v>
      </c>
      <c r="F7" s="46">
        <v>1418.4800000000002</v>
      </c>
      <c r="H7" s="33" t="s">
        <v>35</v>
      </c>
      <c r="I7" s="39">
        <f>F7</f>
        <v>1418.4800000000002</v>
      </c>
      <c r="K7" s="33" t="s">
        <v>35</v>
      </c>
      <c r="L7" s="39">
        <f>F7</f>
        <v>1418.4800000000002</v>
      </c>
      <c r="N7" s="61">
        <f>180%*9%*N4</f>
        <v>1128.4822799999999</v>
      </c>
      <c r="O7" s="51" t="s">
        <v>48</v>
      </c>
      <c r="P7" s="55">
        <v>341.72</v>
      </c>
      <c r="Q7" s="19" t="s">
        <v>49</v>
      </c>
      <c r="R7" s="19"/>
      <c r="S7" s="60">
        <v>0.1</v>
      </c>
    </row>
    <row r="8" spans="2:19" ht="24" x14ac:dyDescent="0.3">
      <c r="B8" s="33" t="s">
        <v>65</v>
      </c>
      <c r="C8" s="34">
        <f>(C2-C7)*9%</f>
        <v>388.30500000000001</v>
      </c>
      <c r="E8" s="33" t="s">
        <v>67</v>
      </c>
      <c r="F8" s="39">
        <f>IF(C2&lt;5000,N5,IF(C2&gt;=25000,N7,N6))</f>
        <v>626.93459999999993</v>
      </c>
      <c r="H8" s="33" t="s">
        <v>66</v>
      </c>
      <c r="I8" s="39">
        <f>IF((C2-I7)&lt;6612*12,314.1,(C2-I7)*4.9%)</f>
        <v>314.10000000000002</v>
      </c>
      <c r="K8" s="33" t="s">
        <v>65</v>
      </c>
      <c r="L8" s="39">
        <f>(C2-L7)*(9%)</f>
        <v>322.33679999999993</v>
      </c>
      <c r="N8" s="23"/>
      <c r="O8" s="62"/>
      <c r="P8" s="55">
        <v>315.26</v>
      </c>
      <c r="Q8" s="19" t="s">
        <v>50</v>
      </c>
      <c r="R8" s="19"/>
      <c r="S8" s="60">
        <v>0.12</v>
      </c>
    </row>
    <row r="9" spans="2:19" ht="19" x14ac:dyDescent="0.25">
      <c r="B9" s="36"/>
      <c r="C9" s="37"/>
      <c r="E9" s="33" t="s">
        <v>53</v>
      </c>
      <c r="F9" s="40">
        <f>F8/2</f>
        <v>313.46729999999997</v>
      </c>
      <c r="H9" s="33" t="s">
        <v>56</v>
      </c>
      <c r="I9" s="40">
        <f>IF(I8&gt;10200/12,10200/12,I8)</f>
        <v>314.10000000000002</v>
      </c>
      <c r="K9" s="36"/>
      <c r="L9" s="37"/>
      <c r="N9" s="63">
        <v>6935</v>
      </c>
      <c r="O9" s="52" t="s">
        <v>57</v>
      </c>
      <c r="P9" s="56"/>
      <c r="Q9" s="19" t="s">
        <v>51</v>
      </c>
      <c r="R9" s="19"/>
      <c r="S9" s="60">
        <v>0.14000000000000001</v>
      </c>
    </row>
    <row r="10" spans="2:19" x14ac:dyDescent="0.2">
      <c r="B10" s="33" t="s">
        <v>36</v>
      </c>
      <c r="C10" s="35">
        <f>IF((C2-C7)&lt;2500,0,IF((C2-C7-250)&lt;10000,(C2-C7-250)*12%-300,(C2-C7-10000-250)*32%+900))</f>
        <v>187.74</v>
      </c>
      <c r="E10" s="33" t="s">
        <v>36</v>
      </c>
      <c r="F10" s="40">
        <f>(C2-F7+101.94)*F6-F9*F6</f>
        <v>505.49890499999992</v>
      </c>
      <c r="H10" s="33" t="s">
        <v>36</v>
      </c>
      <c r="I10" s="40">
        <f>(C2-I7-I9)*19%</f>
        <v>620.80979999999988</v>
      </c>
      <c r="K10" s="33" t="s">
        <v>36</v>
      </c>
      <c r="L10" s="40">
        <f>IF((C2-L7)&lt;2500,0,IF((C2-L7)&lt;10000,(C2-L7)*12%-300,(C2-L7-10000)*32%+900))</f>
        <v>129.78239999999994</v>
      </c>
      <c r="N10" s="61">
        <f>N9*60%</f>
        <v>4161</v>
      </c>
      <c r="O10" s="53" t="s">
        <v>58</v>
      </c>
      <c r="P10" s="57">
        <v>314.10000000000002</v>
      </c>
      <c r="Q10" s="19" t="s">
        <v>52</v>
      </c>
      <c r="R10" s="19"/>
      <c r="S10" s="60">
        <v>0.15</v>
      </c>
    </row>
    <row r="11" spans="2:19" ht="25" thickBot="1" x14ac:dyDescent="0.35">
      <c r="B11" s="41" t="s">
        <v>54</v>
      </c>
      <c r="C11" s="42">
        <f>C2-C7-C8-C10</f>
        <v>3738.4549999999999</v>
      </c>
      <c r="E11" s="41" t="s">
        <v>54</v>
      </c>
      <c r="F11" s="42">
        <f>C2-F7-F8-F10</f>
        <v>2449.0864949999996</v>
      </c>
      <c r="H11" s="41" t="s">
        <v>54</v>
      </c>
      <c r="I11" s="42">
        <f>C2-I7-I8-I10</f>
        <v>2646.6101999999996</v>
      </c>
      <c r="K11" s="41" t="s">
        <v>54</v>
      </c>
      <c r="L11" s="42">
        <f>C2-L7-L8-L10</f>
        <v>3129.4007999999994</v>
      </c>
      <c r="N11" s="24"/>
      <c r="O11" s="25"/>
      <c r="P11" s="25"/>
      <c r="Q11" s="25"/>
      <c r="R11" s="26"/>
      <c r="S11" s="64">
        <v>0.17</v>
      </c>
    </row>
    <row r="12" spans="2:19" x14ac:dyDescent="0.2">
      <c r="B12" s="43"/>
      <c r="C12" s="43"/>
    </row>
    <row r="13" spans="2:19" x14ac:dyDescent="0.2">
      <c r="B13" s="44" t="s">
        <v>69</v>
      </c>
      <c r="C13" s="65">
        <f>19.52%*C2</f>
        <v>975.99999999999989</v>
      </c>
      <c r="D13" s="32"/>
      <c r="E13" s="28" t="s">
        <v>69</v>
      </c>
      <c r="F13" s="29">
        <f>IF(F$7=$P$4,19.52%*$N$10,IF(F$7=$P$5,19.52%*$N$10,IF(F$7=0,0,IF(F$7=$P$7,19.52%*1080,19.52%*1080))))</f>
        <v>812.22719999999993</v>
      </c>
      <c r="G13" s="32"/>
      <c r="H13" s="28" t="s">
        <v>69</v>
      </c>
      <c r="I13" s="29">
        <f>IF(I$7=$P$4,19.52%*$N$10,IF(I$7=$P$5,19.52%*$N$10,IF(I$7=0,0,IF(I$7=$P$7,19.52%*1080,19.52%*1080))))</f>
        <v>812.22719999999993</v>
      </c>
      <c r="J13" s="32"/>
      <c r="K13" s="28" t="s">
        <v>69</v>
      </c>
      <c r="L13" s="29">
        <f>IF(L$7=$P$4,19.52%*$N$10,IF(L$7=$P$5,19.52%*$N$10,IF(L$7=0,0,IF(L$7=$P$7,19.52%*1080,19.52%*1080))))</f>
        <v>812.22719999999993</v>
      </c>
    </row>
    <row r="14" spans="2:19" x14ac:dyDescent="0.2">
      <c r="B14" s="44" t="s">
        <v>68</v>
      </c>
      <c r="C14" s="45">
        <f>C2*86.29%*80%/30</f>
        <v>115.05333333333336</v>
      </c>
      <c r="D14" s="32"/>
      <c r="E14" s="44" t="s">
        <v>68</v>
      </c>
      <c r="F14" s="30">
        <f>N10*86.29%*80%/30</f>
        <v>95.747384000000011</v>
      </c>
      <c r="G14" s="32"/>
      <c r="H14" s="44" t="s">
        <v>68</v>
      </c>
      <c r="I14" s="30">
        <f>F14</f>
        <v>95.747384000000011</v>
      </c>
      <c r="J14" s="32"/>
      <c r="K14" s="44" t="s">
        <v>68</v>
      </c>
      <c r="L14" s="30">
        <f>F14</f>
        <v>95.747384000000011</v>
      </c>
    </row>
    <row r="16" spans="2:19" x14ac:dyDescent="0.2">
      <c r="K16" s="27"/>
      <c r="L16" s="3"/>
      <c r="M16" s="3"/>
      <c r="N16" s="3"/>
    </row>
    <row r="17" spans="2:6" x14ac:dyDescent="0.2">
      <c r="B17" s="27"/>
      <c r="C17" s="31"/>
      <c r="D17" s="31"/>
      <c r="E17" s="31"/>
      <c r="F17" s="31"/>
    </row>
    <row r="18" spans="2:6" x14ac:dyDescent="0.2">
      <c r="B18" s="70" t="s">
        <v>71</v>
      </c>
    </row>
    <row r="19" spans="2:6" x14ac:dyDescent="0.2">
      <c r="B19" s="70" t="s">
        <v>72</v>
      </c>
    </row>
    <row r="20" spans="2:6" x14ac:dyDescent="0.2">
      <c r="B20" s="70" t="s">
        <v>29</v>
      </c>
    </row>
    <row r="21" spans="2:6" x14ac:dyDescent="0.2">
      <c r="B21" s="71" t="s">
        <v>42</v>
      </c>
    </row>
    <row r="22" spans="2:6" x14ac:dyDescent="0.2">
      <c r="B22" s="71"/>
    </row>
    <row r="23" spans="2:6" x14ac:dyDescent="0.2">
      <c r="B23" s="70" t="s">
        <v>73</v>
      </c>
    </row>
  </sheetData>
  <mergeCells count="6">
    <mergeCell ref="N2:S2"/>
    <mergeCell ref="N3:O3"/>
    <mergeCell ref="B5:C5"/>
    <mergeCell ref="E5:F5"/>
    <mergeCell ref="H5:I5"/>
    <mergeCell ref="K5:L5"/>
  </mergeCells>
  <conditionalFormatting sqref="C11 F11 I11 L11">
    <cfRule type="top10" dxfId="0" priority="1" percent="1" rank="10"/>
  </conditionalFormatting>
  <dataValidations disablePrompts="1" count="2">
    <dataValidation type="list" allowBlank="1" showInputMessage="1" showErrorMessage="1" sqref="F7 I7 L7" xr:uid="{6A1098B5-5A24-1B44-BFF8-5F64CF5E2732}">
      <formula1>$P$4:$P$10</formula1>
    </dataValidation>
    <dataValidation type="list" allowBlank="1" showInputMessage="1" showErrorMessage="1" sqref="F6" xr:uid="{4EEC904D-788C-EB40-BD5C-40B2D6BDDC19}">
      <formula1>$S$3:$S$11</formula1>
    </dataValidation>
  </dataValidations>
  <hyperlinks>
    <hyperlink ref="R5" r:id="rId1" xr:uid="{76DEDD9F-E95F-184A-9687-0F13D01C6919}"/>
    <hyperlink ref="B18" r:id="rId2" xr:uid="{A73CBD51-F7BB-684B-BC58-940A058B4487}"/>
    <hyperlink ref="B21" r:id="rId3" xr:uid="{B4E9C44C-660C-8545-8E14-48DCA973BE9E}"/>
    <hyperlink ref="B20" r:id="rId4" xr:uid="{35366C96-A7D7-C94B-B23B-EA2FAF3BE9C4}"/>
    <hyperlink ref="B19" r:id="rId5" xr:uid="{D0AF5617-AD69-DB4C-905D-C58815492CEF}"/>
    <hyperlink ref="B23" r:id="rId6" xr:uid="{19AAA7B3-A2D2-6543-8959-98666A937AFD}"/>
  </hyperlinks>
  <pageMargins left="0.7" right="0.7" top="0.75" bottom="0.75" header="0.3" footer="0.3"/>
  <pageSetup paperSize="9" orientation="portrait" horizontalDpi="0" verticalDpi="0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ZUS</vt:lpstr>
      <vt:lpstr>DG vs UOP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Grzesik</dc:creator>
  <cp:lastModifiedBy>Adam Grzesik</cp:lastModifiedBy>
  <dcterms:created xsi:type="dcterms:W3CDTF">2023-02-18T07:46:58Z</dcterms:created>
  <dcterms:modified xsi:type="dcterms:W3CDTF">2023-02-18T11:43:03Z</dcterms:modified>
</cp:coreProperties>
</file>